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pring 2019\"/>
    </mc:Choice>
  </mc:AlternateContent>
  <bookViews>
    <workbookView xWindow="0" yWindow="0" windowWidth="10695" windowHeight="7005"/>
  </bookViews>
  <sheets>
    <sheet name="Sheet 1" sheetId="1" r:id="rId1"/>
    <sheet name="Chk" sheetId="3" r:id="rId2"/>
  </sheets>
  <calcPr calcId="162913"/>
</workbook>
</file>

<file path=xl/calcChain.xml><?xml version="1.0" encoding="utf-8"?>
<calcChain xmlns="http://schemas.openxmlformats.org/spreadsheetml/2006/main">
  <c r="I41" i="1" l="1"/>
  <c r="I39" i="1"/>
  <c r="I35" i="1"/>
  <c r="I33" i="1"/>
  <c r="C7" i="1"/>
  <c r="C10" i="1"/>
  <c r="B10" i="1"/>
  <c r="C41" i="1"/>
  <c r="B41" i="1"/>
  <c r="C38" i="1"/>
  <c r="B38" i="1"/>
  <c r="C37" i="1"/>
  <c r="B37" i="1"/>
  <c r="C32" i="1"/>
  <c r="B32" i="1"/>
  <c r="I13" i="1"/>
  <c r="H13" i="1"/>
  <c r="I12" i="1"/>
  <c r="H12" i="1"/>
  <c r="I10" i="1"/>
  <c r="H10" i="1"/>
  <c r="I34" i="1"/>
  <c r="I32" i="1"/>
  <c r="H34" i="1"/>
  <c r="H32" i="1"/>
  <c r="I40" i="1"/>
  <c r="I38" i="1"/>
  <c r="H40" i="1"/>
  <c r="H38" i="1"/>
  <c r="H41" i="1"/>
  <c r="H39" i="1"/>
  <c r="H35" i="1"/>
  <c r="H33" i="1"/>
  <c r="C13" i="1"/>
  <c r="B13" i="1"/>
  <c r="J22" i="1" l="1"/>
  <c r="D26" i="1"/>
  <c r="I24" i="1" l="1"/>
  <c r="J35" i="1" l="1"/>
  <c r="K35" i="1" s="1"/>
  <c r="J39" i="1"/>
  <c r="K39" i="1" s="1"/>
  <c r="J41" i="1"/>
  <c r="K41" i="1" s="1"/>
  <c r="J33" i="1"/>
  <c r="K33" i="1" s="1"/>
  <c r="D40" i="1" l="1"/>
  <c r="E40" i="1" s="1"/>
  <c r="C24" i="1" l="1"/>
  <c r="D22" i="1" l="1"/>
  <c r="E22" i="1" s="1"/>
  <c r="D23" i="1" l="1"/>
  <c r="E23" i="1" s="1"/>
  <c r="B24" i="1"/>
  <c r="J48" i="1" l="1"/>
  <c r="B8" i="3"/>
  <c r="J45" i="1"/>
  <c r="B3" i="3"/>
  <c r="C3" i="3"/>
  <c r="C8" i="3"/>
  <c r="J26" i="1"/>
  <c r="D25" i="1"/>
  <c r="E25" i="1" s="1"/>
  <c r="B27" i="1" l="1"/>
  <c r="B4" i="3" s="1"/>
  <c r="H24" i="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<sst xmlns="http://schemas.openxmlformats.org/spreadsheetml/2006/main" count="135" uniqueCount="99">
  <si>
    <t>Change</t>
  </si>
  <si>
    <t>%</t>
  </si>
  <si>
    <t>School</t>
  </si>
  <si>
    <t>SPEA</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</si>
  <si>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</si>
  <si>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</si>
  <si>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</si>
  <si>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</si>
  <si>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</si>
  <si>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</si>
  <si>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</si>
  <si>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</si>
  <si>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</si>
  <si>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</si>
  <si>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</si>
  <si>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</si>
  <si>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</si>
  <si>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</si>
  <si>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</si>
  <si>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</si>
  <si>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</si>
  <si>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</si>
  <si>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</si>
  <si>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</si>
  <si>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</si>
  <si>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</si>
  <si>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</si>
  <si>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</si>
  <si>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</si>
  <si>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</si>
  <si>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</si>
  <si>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</si>
  <si>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</si>
  <si>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</si>
  <si>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</si>
  <si>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</si>
  <si>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</si>
  <si>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</si>
  <si>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</si>
  <si>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</si>
  <si>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</si>
  <si>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</si>
  <si>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</si>
  <si>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</si>
  <si>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</si>
  <si>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</si>
  <si>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</si>
  <si>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</si>
  <si>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</si>
  <si>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</si>
  <si>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IU Ft. Wayne</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</si>
  <si>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</si>
  <si>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</si>
  <si>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</si>
  <si>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</si>
  <si>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</si>
  <si>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</si>
  <si>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</si>
  <si>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</si>
  <si>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</si>
  <si>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</si>
  <si>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</si>
  <si>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</si>
  <si>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</si>
  <si>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</si>
  <si>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</si>
  <si>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Doctoral-Practice</t>
  </si>
  <si>
    <t>Doctoral-Research</t>
  </si>
  <si>
    <t>Undistributed Grad**</t>
  </si>
  <si>
    <t>IN Total</t>
  </si>
  <si>
    <t>Spring 2019</t>
  </si>
  <si>
    <t>* Spring 2018 headcount and credit hour totals represent the sum of School of Health and Rehabilitation Sciences and School of Physical Education and Tourism Management.</t>
  </si>
  <si>
    <t>Admin Tracking Group</t>
  </si>
  <si>
    <t>Kelley Business***</t>
  </si>
  <si>
    <t>Medicine***</t>
  </si>
  <si>
    <t>#Students enrolled at multiple campuses are counted twice at this time. Credits are not affected.</t>
  </si>
  <si>
    <t>1/1/2018</t>
  </si>
  <si>
    <t>12/31/2018</t>
  </si>
  <si>
    <t>Office of Institutional Research and Decision Support 1/3/2019</t>
  </si>
  <si>
    <t>+5 ug; -20 grad/prof; -2 non-degree</t>
  </si>
  <si>
    <t>-43 ug; -20 grad; -12 non-degree</t>
  </si>
  <si>
    <t>-22 ug; +3 grad;-1 non-degree</t>
  </si>
  <si>
    <t>-129 ug; -10 grad</t>
  </si>
  <si>
    <t>+20 ug; -5 grad; +0 non-degree</t>
  </si>
  <si>
    <t>+41 ug; +28 grad; +11 non-degree</t>
  </si>
  <si>
    <t>+17 grad/prof</t>
  </si>
  <si>
    <t>+24 ug; +47 grad/prof; +5 non-degree</t>
  </si>
  <si>
    <t>-6 ug; +9 grad</t>
  </si>
  <si>
    <t>-12 ug; -51 grad</t>
  </si>
  <si>
    <t>+24 ug; +49 grad/prof</t>
  </si>
  <si>
    <t>+43 ug; -12 grad; -27 non-degree</t>
  </si>
  <si>
    <t>+19 ug; +46 grad; +0 non-degree</t>
  </si>
  <si>
    <t>+16 non-degree</t>
  </si>
  <si>
    <t>-10 non-degree</t>
  </si>
  <si>
    <t>-56 ug; -9 grad; -24 non-degree</t>
  </si>
  <si>
    <t>+14 ug; +97 grad/prof</t>
  </si>
  <si>
    <t>-256 ug; +11 hs; -8 non-degree</t>
  </si>
  <si>
    <t>-8 ug; -28 grad; +11 non-degree</t>
  </si>
  <si>
    <t>***Totals include enrollment in Winter 2017 and Winter 2018 terms.  In Winter 2017, Kelley had 84 Graduate and 10 non-degree students taking 635 hours. Medicine had one graduate student enrolled in 4.5 hours.  In Winter 2018, Kelley had 82 Graduate and 23 non-degree students enrolled in 635.5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</si>
</sst>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3"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diagonal/>
    </border>
  </borders>
  <cellStyleXfs count="3">
    <xf numFmtId="0" fontId="0" fillId="0" borderId="0"/>
    <xf numFmtId="0" fontId="10" fillId="0" borderId="0"/>
    <xf numFmtId="0" fontId="11" fillId="0" borderId="0"/>
  </cellStyleXfs>
  <cellXfs count="215">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49" fontId="16" fillId="2" borderId="7" xfId="0" applyNumberFormat="1" applyFont="1" applyFill="1" applyBorder="1" applyAlignment="1">
      <alignment vertical="top" wrapText="1"/>
    </xf>
    <xf numFmtId="49" fontId="17" fillId="3" borderId="8" xfId="0" applyNumberFormat="1" applyFont="1" applyFill="1" applyBorder="1" applyAlignment="1">
      <alignment horizont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0"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49" fontId="21" fillId="2" borderId="7" xfId="0" applyNumberFormat="1" applyFont="1" applyFill="1" applyBorder="1" applyAlignment="1">
      <alignment vertical="top" wrapText="1"/>
    </xf>
    <xf numFmtId="0" fontId="17" fillId="2" borderId="4" xfId="0" applyFont="1" applyFill="1" applyBorder="1"/>
    <xf numFmtId="0" fontId="17" fillId="5" borderId="13" xfId="0" applyFont="1" applyFill="1" applyBorder="1"/>
    <xf numFmtId="0" fontId="14" fillId="0" borderId="4" xfId="0" applyFont="1" applyBorder="1" applyAlignment="1">
      <alignment vertical="center"/>
    </xf>
    <xf numFmtId="0" fontId="17" fillId="3" borderId="4" xfId="0" applyFont="1" applyFill="1" applyBorder="1" applyAlignment="1">
      <alignment vertical="center"/>
    </xf>
    <xf numFmtId="3" fontId="22" fillId="2" borderId="3" xfId="0" applyNumberFormat="1" applyFont="1" applyFill="1" applyBorder="1" applyAlignment="1">
      <alignment horizontal="center" wrapText="1"/>
    </xf>
    <xf numFmtId="3" fontId="22" fillId="2" borderId="14" xfId="0" applyNumberFormat="1" applyFont="1" applyFill="1" applyBorder="1" applyAlignment="1">
      <alignment horizontal="center" wrapText="1"/>
    </xf>
    <xf numFmtId="0" fontId="14" fillId="0" borderId="16" xfId="0" applyFont="1" applyBorder="1"/>
    <xf numFmtId="0" fontId="17" fillId="0" borderId="4" xfId="0" applyFont="1" applyBorder="1"/>
    <xf numFmtId="0" fontId="17" fillId="0" borderId="13" xfId="0" applyFont="1" applyBorder="1"/>
    <xf numFmtId="0" fontId="2" fillId="0" borderId="0" xfId="0" applyFont="1"/>
    <xf numFmtId="0" fontId="14" fillId="0" borderId="4" xfId="0" applyFont="1" applyBorder="1" applyAlignment="1">
      <alignment horizontal="left" vertical="center" wrapText="1"/>
    </xf>
    <xf numFmtId="0" fontId="24"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5" fillId="3" borderId="24" xfId="0" applyNumberFormat="1" applyFont="1" applyFill="1" applyBorder="1" applyAlignment="1">
      <alignment horizontal="center" vertical="center" wrapText="1" readingOrder="1"/>
    </xf>
    <xf numFmtId="166" fontId="11" fillId="0" borderId="24" xfId="0" applyNumberFormat="1" applyFont="1" applyFill="1" applyBorder="1" applyAlignment="1">
      <alignment horizontal="center" vertical="center" wrapText="1" readingOrder="1"/>
    </xf>
    <xf numFmtId="0" fontId="14"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4" fillId="0" borderId="16" xfId="0" applyFont="1" applyFill="1" applyBorder="1" applyAlignment="1">
      <alignment vertical="center"/>
    </xf>
    <xf numFmtId="16" fontId="17" fillId="3" borderId="18" xfId="0" applyNumberFormat="1" applyFont="1" applyFill="1" applyBorder="1" applyAlignment="1">
      <alignment horizontal="center"/>
    </xf>
    <xf numFmtId="0" fontId="1" fillId="2" borderId="0" xfId="0" applyFont="1" applyFill="1" applyAlignment="1">
      <alignment horizontal="center"/>
    </xf>
    <xf numFmtId="3" fontId="11" fillId="0" borderId="24" xfId="0" applyNumberFormat="1" applyFont="1" applyFill="1" applyBorder="1" applyAlignment="1">
      <alignment horizontal="center" vertical="center" wrapText="1" readingOrder="1"/>
    </xf>
    <xf numFmtId="3" fontId="25" fillId="3" borderId="9" xfId="0" applyNumberFormat="1" applyFont="1" applyFill="1" applyBorder="1" applyAlignment="1">
      <alignment horizontal="center" vertical="center" wrapText="1" readingOrder="1"/>
    </xf>
    <xf numFmtId="166" fontId="25" fillId="5" borderId="25" xfId="0" applyNumberFormat="1" applyFont="1" applyFill="1" applyBorder="1" applyAlignment="1">
      <alignment horizontal="center" vertical="center" wrapText="1" readingOrder="1"/>
    </xf>
    <xf numFmtId="166" fontId="11" fillId="2" borderId="24"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1" fontId="16"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29" fillId="2" borderId="9" xfId="0" applyNumberFormat="1" applyFont="1" applyFill="1" applyBorder="1" applyAlignment="1">
      <alignment horizontal="center" wrapText="1"/>
    </xf>
    <xf numFmtId="3" fontId="30" fillId="2" borderId="9" xfId="0" applyNumberFormat="1" applyFont="1" applyFill="1" applyBorder="1" applyAlignment="1">
      <alignment horizontal="center" wrapText="1"/>
    </xf>
    <xf numFmtId="3" fontId="30" fillId="2" borderId="9" xfId="0" applyNumberFormat="1" applyFont="1" applyFill="1" applyBorder="1" applyAlignment="1">
      <alignment horizontal="center" vertical="center" wrapText="1"/>
    </xf>
    <xf numFmtId="164" fontId="29" fillId="2" borderId="1" xfId="0" applyNumberFormat="1" applyFont="1" applyFill="1" applyBorder="1" applyAlignment="1">
      <alignment horizontal="center" wrapText="1"/>
    </xf>
    <xf numFmtId="164" fontId="30" fillId="2" borderId="1" xfId="0" applyNumberFormat="1" applyFont="1" applyFill="1" applyBorder="1" applyAlignment="1">
      <alignment horizontal="center" wrapText="1"/>
    </xf>
    <xf numFmtId="164" fontId="30" fillId="2" borderId="1" xfId="0" applyNumberFormat="1" applyFont="1" applyFill="1" applyBorder="1" applyAlignment="1">
      <alignment horizontal="center" vertical="center" wrapText="1"/>
    </xf>
    <xf numFmtId="164" fontId="29" fillId="2" borderId="12" xfId="0" applyNumberFormat="1" applyFont="1" applyFill="1" applyBorder="1" applyAlignment="1">
      <alignment horizontal="center" vertical="center" wrapText="1"/>
    </xf>
    <xf numFmtId="164" fontId="29" fillId="2" borderId="1" xfId="0" applyNumberFormat="1" applyFont="1" applyFill="1" applyBorder="1" applyAlignment="1">
      <alignment horizontal="center" vertical="center" wrapText="1"/>
    </xf>
    <xf numFmtId="166" fontId="29"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30" fillId="2" borderId="3" xfId="0" applyNumberFormat="1" applyFont="1" applyFill="1" applyBorder="1" applyAlignment="1">
      <alignment horizontal="center" wrapText="1"/>
    </xf>
    <xf numFmtId="164" fontId="30"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3"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7" fillId="5" borderId="31" xfId="0" applyFont="1" applyFill="1" applyBorder="1"/>
    <xf numFmtId="3" fontId="17" fillId="5" borderId="32" xfId="0" applyNumberFormat="1" applyFont="1" applyFill="1" applyBorder="1" applyAlignment="1">
      <alignment horizontal="center" vertical="center" wrapText="1" readingOrder="1"/>
    </xf>
    <xf numFmtId="0" fontId="23" fillId="0" borderId="8" xfId="0" applyFont="1" applyBorder="1" applyAlignment="1">
      <alignment horizontal="center"/>
    </xf>
    <xf numFmtId="0" fontId="23" fillId="0" borderId="34" xfId="0" applyFont="1" applyBorder="1" applyAlignment="1">
      <alignment horizontal="center"/>
    </xf>
    <xf numFmtId="0" fontId="14" fillId="2" borderId="35" xfId="0" applyFont="1" applyFill="1" applyBorder="1"/>
    <xf numFmtId="0" fontId="17" fillId="0" borderId="26" xfId="0" applyFont="1" applyFill="1" applyBorder="1" applyAlignment="1">
      <alignment vertical="center"/>
    </xf>
    <xf numFmtId="0" fontId="0" fillId="0" borderId="0" xfId="0" applyAlignment="1">
      <alignment horizontal="center" vertical="center"/>
    </xf>
    <xf numFmtId="49" fontId="20" fillId="0" borderId="22" xfId="0" applyNumberFormat="1" applyFont="1" applyBorder="1" applyAlignment="1">
      <alignment horizontal="right"/>
    </xf>
    <xf numFmtId="166" fontId="31" fillId="3" borderId="9" xfId="0" applyNumberFormat="1" applyFont="1" applyFill="1" applyBorder="1" applyAlignment="1">
      <alignment horizontal="center" vertical="center" wrapText="1" readingOrder="1"/>
    </xf>
    <xf numFmtId="164" fontId="31" fillId="3" borderId="1" xfId="0" applyNumberFormat="1" applyFont="1" applyFill="1" applyBorder="1" applyAlignment="1">
      <alignment horizontal="center" vertical="center" wrapText="1"/>
    </xf>
    <xf numFmtId="166" fontId="30" fillId="0" borderId="9" xfId="0" applyNumberFormat="1" applyFont="1" applyFill="1" applyBorder="1" applyAlignment="1">
      <alignment horizontal="center" vertical="center" wrapText="1" readingOrder="1"/>
    </xf>
    <xf numFmtId="164" fontId="30" fillId="0" borderId="9" xfId="0" applyNumberFormat="1" applyFont="1" applyBorder="1" applyAlignment="1">
      <alignment horizontal="center" vertical="center" wrapText="1" readingOrder="1"/>
    </xf>
    <xf numFmtId="3" fontId="14" fillId="0" borderId="9" xfId="0" applyNumberFormat="1" applyFont="1" applyBorder="1" applyAlignment="1">
      <alignment horizontal="center"/>
    </xf>
    <xf numFmtId="3" fontId="14" fillId="0" borderId="21" xfId="0" applyNumberFormat="1" applyFont="1" applyBorder="1" applyAlignment="1">
      <alignment horizontal="center"/>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49" fontId="14" fillId="0" borderId="20" xfId="0" applyNumberFormat="1"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3" fontId="11" fillId="0" borderId="0" xfId="0" applyNumberFormat="1" applyFont="1" applyFill="1" applyBorder="1" applyAlignment="1">
      <alignment horizontal="center" vertical="center" wrapText="1" readingOrder="1"/>
    </xf>
    <xf numFmtId="3" fontId="11" fillId="0" borderId="39" xfId="0" applyNumberFormat="1" applyFont="1" applyFill="1" applyBorder="1" applyAlignment="1">
      <alignment horizontal="center" vertical="center" wrapText="1" readingOrder="1"/>
    </xf>
    <xf numFmtId="0" fontId="17" fillId="3" borderId="23" xfId="0" applyFont="1" applyFill="1" applyBorder="1"/>
    <xf numFmtId="164" fontId="11" fillId="2" borderId="35" xfId="0" applyNumberFormat="1" applyFont="1" applyFill="1" applyBorder="1" applyAlignment="1">
      <alignment horizontal="center" vertical="center" wrapText="1"/>
    </xf>
    <xf numFmtId="3" fontId="31" fillId="5" borderId="29" xfId="0" applyNumberFormat="1" applyFont="1" applyFill="1" applyBorder="1" applyAlignment="1">
      <alignment horizontal="center" vertical="center" wrapText="1"/>
    </xf>
    <xf numFmtId="164" fontId="31" fillId="5" borderId="30" xfId="0" applyNumberFormat="1" applyFont="1" applyFill="1" applyBorder="1" applyAlignment="1">
      <alignment horizontal="center" vertical="center" wrapText="1"/>
    </xf>
    <xf numFmtId="3" fontId="29" fillId="2" borderId="9" xfId="0" applyNumberFormat="1" applyFont="1" applyFill="1" applyBorder="1" applyAlignment="1">
      <alignment horizontal="center" vertical="center" wrapText="1"/>
    </xf>
    <xf numFmtId="166" fontId="30" fillId="0" borderId="10" xfId="0" applyNumberFormat="1" applyFont="1" applyFill="1" applyBorder="1" applyAlignment="1">
      <alignment horizontal="center" vertical="center" wrapText="1" readingOrder="1"/>
    </xf>
    <xf numFmtId="164" fontId="30" fillId="2" borderId="2" xfId="0" applyNumberFormat="1" applyFont="1" applyFill="1" applyBorder="1" applyAlignment="1">
      <alignment horizontal="center" vertical="center" wrapText="1"/>
    </xf>
    <xf numFmtId="164" fontId="29" fillId="0" borderId="9" xfId="0" applyNumberFormat="1" applyFont="1" applyBorder="1" applyAlignment="1">
      <alignment horizontal="center" vertical="center" wrapText="1" readingOrder="1"/>
    </xf>
    <xf numFmtId="3" fontId="14" fillId="0" borderId="37" xfId="0" applyNumberFormat="1" applyFont="1" applyBorder="1" applyAlignment="1">
      <alignment horizontal="center"/>
    </xf>
    <xf numFmtId="3" fontId="14" fillId="0" borderId="36" xfId="0" applyNumberFormat="1" applyFont="1" applyBorder="1" applyAlignment="1">
      <alignment horizontal="center"/>
    </xf>
    <xf numFmtId="3" fontId="31" fillId="2" borderId="9" xfId="0" applyNumberFormat="1" applyFont="1" applyFill="1" applyBorder="1" applyAlignment="1">
      <alignment horizontal="center" wrapText="1"/>
    </xf>
    <xf numFmtId="164" fontId="31" fillId="2" borderId="1" xfId="0" applyNumberFormat="1" applyFont="1" applyFill="1" applyBorder="1" applyAlignment="1">
      <alignment horizontal="center" vertical="center" wrapText="1"/>
    </xf>
    <xf numFmtId="0" fontId="0" fillId="0" borderId="0" xfId="0" applyAlignment="1">
      <alignment vertical="top" wrapText="1"/>
    </xf>
    <xf numFmtId="3" fontId="31" fillId="0" borderId="9" xfId="0" applyNumberFormat="1" applyFont="1" applyFill="1" applyBorder="1" applyAlignment="1">
      <alignment horizontal="center" vertical="center" wrapText="1"/>
    </xf>
    <xf numFmtId="0" fontId="17" fillId="3" borderId="0" xfId="0" applyFont="1" applyFill="1"/>
    <xf numFmtId="1" fontId="11" fillId="0" borderId="25" xfId="0" applyNumberFormat="1" applyFont="1" applyFill="1" applyBorder="1" applyAlignment="1">
      <alignment horizontal="center" vertical="center" wrapText="1" readingOrder="1"/>
    </xf>
    <xf numFmtId="1" fontId="17" fillId="3" borderId="42" xfId="0" applyNumberFormat="1" applyFont="1" applyFill="1" applyBorder="1" applyAlignment="1">
      <alignment horizontal="center"/>
    </xf>
    <xf numFmtId="1" fontId="17" fillId="3" borderId="37" xfId="0" applyNumberFormat="1" applyFont="1" applyFill="1" applyBorder="1" applyAlignment="1">
      <alignment horizontal="center"/>
    </xf>
    <xf numFmtId="3" fontId="14" fillId="0" borderId="0" xfId="0" applyNumberFormat="1" applyFont="1" applyAlignment="1">
      <alignment horizontal="center"/>
    </xf>
    <xf numFmtId="3" fontId="17" fillId="0" borderId="10" xfId="0" applyNumberFormat="1" applyFont="1" applyBorder="1" applyAlignment="1">
      <alignment horizontal="center"/>
    </xf>
    <xf numFmtId="3" fontId="29" fillId="0" borderId="9" xfId="0" applyNumberFormat="1" applyFont="1" applyFill="1" applyBorder="1" applyAlignment="1">
      <alignment horizontal="center" wrapText="1"/>
    </xf>
    <xf numFmtId="164" fontId="29" fillId="0" borderId="1" xfId="0" applyNumberFormat="1" applyFont="1" applyFill="1" applyBorder="1" applyAlignment="1">
      <alignment horizontal="center" wrapText="1"/>
    </xf>
    <xf numFmtId="0" fontId="14" fillId="0" borderId="40" xfId="0" applyFont="1" applyBorder="1"/>
    <xf numFmtId="3" fontId="30" fillId="0" borderId="9" xfId="0" applyNumberFormat="1" applyFont="1" applyFill="1" applyBorder="1" applyAlignment="1">
      <alignment horizontal="center" wrapText="1"/>
    </xf>
    <xf numFmtId="164" fontId="30" fillId="0" borderId="1" xfId="0" applyNumberFormat="1" applyFont="1" applyFill="1" applyBorder="1" applyAlignment="1">
      <alignment horizontal="center" wrapText="1"/>
    </xf>
    <xf numFmtId="3" fontId="31" fillId="5" borderId="10" xfId="0" applyNumberFormat="1" applyFont="1" applyFill="1" applyBorder="1" applyAlignment="1">
      <alignment horizontal="center" wrapText="1"/>
    </xf>
    <xf numFmtId="164" fontId="31" fillId="5" borderId="2" xfId="0" applyNumberFormat="1" applyFont="1" applyFill="1" applyBorder="1" applyAlignment="1">
      <alignment horizontal="center" wrapText="1"/>
    </xf>
    <xf numFmtId="3" fontId="29" fillId="2" borderId="11" xfId="0" applyNumberFormat="1" applyFont="1" applyFill="1" applyBorder="1" applyAlignment="1">
      <alignment horizontal="center" vertical="center" wrapText="1"/>
    </xf>
    <xf numFmtId="3" fontId="29" fillId="2" borderId="11" xfId="0" applyNumberFormat="1" applyFont="1" applyFill="1" applyBorder="1" applyAlignment="1">
      <alignment horizontal="center" wrapText="1"/>
    </xf>
    <xf numFmtId="164" fontId="29" fillId="2" borderId="12" xfId="0" applyNumberFormat="1" applyFont="1" applyFill="1" applyBorder="1" applyAlignment="1">
      <alignment horizontal="center" wrapText="1"/>
    </xf>
    <xf numFmtId="166" fontId="32" fillId="3" borderId="9" xfId="0" applyNumberFormat="1" applyFont="1" applyFill="1" applyBorder="1" applyAlignment="1">
      <alignment horizontal="center" vertical="center" wrapText="1" readingOrder="1"/>
    </xf>
    <xf numFmtId="164" fontId="32" fillId="3" borderId="1" xfId="0" applyNumberFormat="1" applyFont="1" applyFill="1" applyBorder="1" applyAlignment="1">
      <alignment horizontal="center" vertical="center" wrapText="1"/>
    </xf>
    <xf numFmtId="3" fontId="32" fillId="2" borderId="3"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3" fontId="32" fillId="0" borderId="9" xfId="0" applyNumberFormat="1" applyFont="1" applyFill="1" applyBorder="1" applyAlignment="1">
      <alignment horizontal="center" vertical="center" wrapText="1"/>
    </xf>
    <xf numFmtId="164" fontId="32" fillId="0" borderId="7" xfId="0" applyNumberFormat="1" applyFont="1" applyFill="1" applyBorder="1" applyAlignment="1">
      <alignment horizontal="center" vertical="center" wrapText="1"/>
    </xf>
    <xf numFmtId="3" fontId="32" fillId="2" borderId="14" xfId="0" applyNumberFormat="1" applyFont="1" applyFill="1" applyBorder="1" applyAlignment="1">
      <alignment horizontal="center" vertical="center" wrapText="1"/>
    </xf>
    <xf numFmtId="164" fontId="32" fillId="2" borderId="15" xfId="0" applyNumberFormat="1" applyFont="1" applyFill="1" applyBorder="1" applyAlignment="1">
      <alignment horizontal="center" vertical="center" wrapText="1"/>
    </xf>
    <xf numFmtId="3" fontId="32" fillId="2" borderId="9"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3" fontId="29" fillId="0" borderId="9" xfId="0" applyNumberFormat="1" applyFont="1" applyFill="1" applyBorder="1" applyAlignment="1">
      <alignment horizontal="center" vertical="center" wrapText="1"/>
    </xf>
    <xf numFmtId="164" fontId="29" fillId="0" borderId="1" xfId="0" applyNumberFormat="1" applyFont="1" applyFill="1" applyBorder="1" applyAlignment="1">
      <alignment horizontal="center" vertical="center" wrapText="1"/>
    </xf>
    <xf numFmtId="49" fontId="4" fillId="0" borderId="9" xfId="0" applyNumberFormat="1" applyFont="1" applyBorder="1"/>
    <xf numFmtId="3" fontId="32" fillId="3" borderId="9" xfId="0" applyNumberFormat="1" applyFont="1" applyFill="1" applyBorder="1" applyAlignment="1">
      <alignment horizontal="center" wrapText="1"/>
    </xf>
    <xf numFmtId="164" fontId="32" fillId="3" borderId="1" xfId="0" applyNumberFormat="1" applyFont="1" applyFill="1" applyBorder="1" applyAlignment="1">
      <alignment horizont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26" fillId="0" borderId="0" xfId="0" applyFont="1" applyFill="1" applyBorder="1" applyAlignment="1">
      <alignment vertical="center" wrapText="1"/>
    </xf>
    <xf numFmtId="0" fontId="2" fillId="0" borderId="0" xfId="0" applyFont="1" applyFill="1" applyBorder="1" applyAlignment="1">
      <alignment wrapText="1"/>
    </xf>
    <xf numFmtId="14" fontId="27" fillId="0" borderId="0" xfId="0" applyNumberFormat="1" applyFont="1" applyAlignment="1">
      <alignment horizontal="left"/>
    </xf>
    <xf numFmtId="0" fontId="28" fillId="0" borderId="0" xfId="0" applyFont="1" applyAlignment="1">
      <alignment horizontal="left"/>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49" fontId="4" fillId="0" borderId="41" xfId="0" applyNumberFormat="1" applyFont="1" applyBorder="1" applyAlignment="1">
      <alignment wrapText="1"/>
    </xf>
    <xf numFmtId="49" fontId="4" fillId="0" borderId="22" xfId="0" applyNumberFormat="1" applyFont="1" applyBorder="1" applyAlignment="1">
      <alignment wrapText="1"/>
    </xf>
    <xf numFmtId="49" fontId="4" fillId="0" borderId="3" xfId="0" applyNumberFormat="1" applyFont="1" applyBorder="1" applyAlignment="1">
      <alignment wrapText="1"/>
    </xf>
    <xf numFmtId="0" fontId="4" fillId="0" borderId="41" xfId="0" applyFont="1" applyBorder="1" applyAlignment="1">
      <alignment vertical="center" wrapText="1"/>
    </xf>
    <xf numFmtId="0" fontId="4" fillId="0" borderId="22" xfId="0" applyFont="1" applyBorder="1" applyAlignment="1">
      <alignment vertical="center" wrapText="1"/>
    </xf>
    <xf numFmtId="0" fontId="4" fillId="0" borderId="14" xfId="0" applyFont="1" applyBorder="1" applyAlignment="1">
      <alignment vertical="center" wrapText="1"/>
    </xf>
    <xf numFmtId="0" fontId="6"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6" fillId="0" borderId="33" xfId="0" applyFont="1" applyBorder="1" applyAlignment="1">
      <alignment horizontal="right" vertical="center" wrapText="1"/>
    </xf>
    <xf numFmtId="0" fontId="6" fillId="0" borderId="38"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49" fontId="4" fillId="0" borderId="44"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0" fontId="21" fillId="0" borderId="4" xfId="0" applyFont="1" applyBorder="1" applyAlignment="1">
      <alignment wrapText="1"/>
    </xf>
    <xf numFmtId="0" fontId="21" fillId="0" borderId="9" xfId="0" applyFont="1" applyBorder="1" applyAlignment="1">
      <alignment wrapText="1"/>
    </xf>
    <xf numFmtId="0" fontId="4" fillId="0" borderId="43" xfId="0" applyFont="1" applyBorder="1" applyAlignment="1">
      <alignment vertical="top" wrapText="1"/>
    </xf>
    <xf numFmtId="0" fontId="4" fillId="0" borderId="0" xfId="0" applyFont="1" applyAlignment="1">
      <alignment vertical="top" wrapText="1"/>
    </xf>
    <xf numFmtId="0" fontId="1" fillId="3" borderId="17" xfId="0" applyFont="1" applyFill="1" applyBorder="1" applyAlignment="1"/>
    <xf numFmtId="0" fontId="1" fillId="3" borderId="5" xfId="0" applyFont="1" applyFill="1" applyBorder="1" applyAlignment="1"/>
    <xf numFmtId="3" fontId="14" fillId="2" borderId="9"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3" fontId="32" fillId="3" borderId="9"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G46" sqref="G46:I46"/>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70</v>
      </c>
      <c r="B1" s="169" t="s">
        <v>33</v>
      </c>
      <c r="C1" s="170"/>
      <c r="D1" s="170"/>
      <c r="E1" s="6"/>
      <c r="F1" s="14"/>
      <c r="G1" s="179">
        <v>43465</v>
      </c>
      <c r="H1" s="180"/>
      <c r="I1" s="180"/>
      <c r="J1" s="180"/>
      <c r="K1" s="180"/>
      <c r="L1" s="180"/>
    </row>
    <row r="2" spans="1:12" s="3" customFormat="1" ht="16.5" customHeight="1" thickBot="1" x14ac:dyDescent="0.3">
      <c r="A2" s="171" t="s">
        <v>4</v>
      </c>
      <c r="B2" s="172"/>
      <c r="C2" s="172"/>
      <c r="D2" s="63"/>
      <c r="E2" s="63"/>
      <c r="F2" s="15"/>
      <c r="G2" s="173" t="s">
        <v>5</v>
      </c>
      <c r="H2" s="172"/>
      <c r="I2" s="172"/>
      <c r="J2" s="172"/>
      <c r="K2" s="74"/>
      <c r="L2" s="75"/>
    </row>
    <row r="3" spans="1:12" s="1" customFormat="1" ht="15.75" thickBot="1" x14ac:dyDescent="0.3">
      <c r="A3" s="57" t="s">
        <v>2</v>
      </c>
      <c r="B3" s="58" t="s">
        <v>76</v>
      </c>
      <c r="C3" s="58" t="s">
        <v>77</v>
      </c>
      <c r="D3" s="62" t="s">
        <v>0</v>
      </c>
      <c r="E3" s="60" t="s">
        <v>1</v>
      </c>
      <c r="F3" s="50"/>
      <c r="G3" s="57" t="s">
        <v>2</v>
      </c>
      <c r="H3" s="58" t="s">
        <v>76</v>
      </c>
      <c r="I3" s="58" t="s">
        <v>77</v>
      </c>
      <c r="J3" s="59" t="s">
        <v>0</v>
      </c>
      <c r="K3" s="60" t="s">
        <v>1</v>
      </c>
      <c r="L3" s="22" t="s">
        <v>37</v>
      </c>
    </row>
    <row r="4" spans="1:12" ht="15" x14ac:dyDescent="0.25">
      <c r="A4" s="61" t="s">
        <v>20</v>
      </c>
      <c r="B4" s="64">
        <v>10513.5</v>
      </c>
      <c r="C4" s="64">
        <v>10340.5</v>
      </c>
      <c r="D4" s="151">
        <f t="shared" ref="D4:D23" si="0">C4-B4</f>
        <v>-173</v>
      </c>
      <c r="E4" s="82">
        <f t="shared" ref="E4:E21" si="1">D4/B4</f>
        <v>-1.6455034003899749E-2</v>
      </c>
      <c r="F4" s="23"/>
      <c r="G4" s="56" t="s">
        <v>20</v>
      </c>
      <c r="H4" s="55">
        <v>639</v>
      </c>
      <c r="I4" s="55">
        <v>622</v>
      </c>
      <c r="J4" s="152">
        <f>I4-H4</f>
        <v>-17</v>
      </c>
      <c r="K4" s="153">
        <f>J4/H4</f>
        <v>-2.6604068857589983E-2</v>
      </c>
      <c r="L4" s="117" t="s">
        <v>79</v>
      </c>
    </row>
    <row r="5" spans="1:12" ht="15" x14ac:dyDescent="0.25">
      <c r="A5" s="24" t="s">
        <v>21</v>
      </c>
      <c r="B5" s="64">
        <v>8891</v>
      </c>
      <c r="C5" s="64">
        <v>8446</v>
      </c>
      <c r="D5" s="128">
        <f t="shared" si="0"/>
        <v>-445</v>
      </c>
      <c r="E5" s="83">
        <f t="shared" si="1"/>
        <v>-5.0050612979417389E-2</v>
      </c>
      <c r="F5" s="23"/>
      <c r="G5" s="18" t="s">
        <v>21</v>
      </c>
      <c r="H5" s="55">
        <v>876</v>
      </c>
      <c r="I5" s="55">
        <v>801</v>
      </c>
      <c r="J5" s="76">
        <f t="shared" ref="J5:J27" si="2">I5-H5</f>
        <v>-75</v>
      </c>
      <c r="K5" s="79">
        <f t="shared" ref="K5:K27" si="3">J5/H5</f>
        <v>-8.5616438356164379E-2</v>
      </c>
      <c r="L5" s="117" t="s">
        <v>80</v>
      </c>
    </row>
    <row r="6" spans="1:12" ht="15" x14ac:dyDescent="0.25">
      <c r="A6" s="24" t="s">
        <v>25</v>
      </c>
      <c r="B6" s="64">
        <v>28748</v>
      </c>
      <c r="C6" s="64">
        <v>28536</v>
      </c>
      <c r="D6" s="128">
        <f t="shared" si="0"/>
        <v>-212</v>
      </c>
      <c r="E6" s="83">
        <f t="shared" si="1"/>
        <v>-7.3744260470293586E-3</v>
      </c>
      <c r="F6" s="23"/>
      <c r="G6" s="18" t="s">
        <v>25</v>
      </c>
      <c r="H6" s="55">
        <v>2738</v>
      </c>
      <c r="I6" s="55">
        <v>2718</v>
      </c>
      <c r="J6" s="76">
        <f t="shared" si="2"/>
        <v>-20</v>
      </c>
      <c r="K6" s="79">
        <f t="shared" si="3"/>
        <v>-7.3046018991964941E-3</v>
      </c>
      <c r="L6" s="118" t="s">
        <v>81</v>
      </c>
    </row>
    <row r="7" spans="1:12" ht="15.75" customHeight="1" x14ac:dyDescent="0.25">
      <c r="A7" s="24" t="s">
        <v>49</v>
      </c>
      <c r="B7" s="64">
        <v>24202</v>
      </c>
      <c r="C7" s="64">
        <f>39+23790</f>
        <v>23829</v>
      </c>
      <c r="D7" s="128">
        <f t="shared" si="0"/>
        <v>-373</v>
      </c>
      <c r="E7" s="83">
        <f t="shared" si="1"/>
        <v>-1.5411949425667299E-2</v>
      </c>
      <c r="F7" s="23"/>
      <c r="G7" s="24" t="s">
        <v>49</v>
      </c>
      <c r="H7" s="55">
        <v>1615</v>
      </c>
      <c r="I7" s="55">
        <v>1476</v>
      </c>
      <c r="J7" s="144">
        <f t="shared" si="2"/>
        <v>-139</v>
      </c>
      <c r="K7" s="145">
        <f t="shared" si="3"/>
        <v>-8.6068111455108356E-2</v>
      </c>
      <c r="L7" s="118" t="s">
        <v>82</v>
      </c>
    </row>
    <row r="8" spans="1:12" ht="15" x14ac:dyDescent="0.25">
      <c r="A8" s="24" t="s">
        <v>36</v>
      </c>
      <c r="B8" s="64">
        <v>8956</v>
      </c>
      <c r="C8" s="64">
        <v>9136</v>
      </c>
      <c r="D8" s="78">
        <f t="shared" si="0"/>
        <v>180</v>
      </c>
      <c r="E8" s="81">
        <f t="shared" si="1"/>
        <v>2.0098258150960249E-2</v>
      </c>
      <c r="F8" s="23"/>
      <c r="G8" s="18" t="s">
        <v>36</v>
      </c>
      <c r="H8" s="55">
        <v>642</v>
      </c>
      <c r="I8" s="55">
        <v>657</v>
      </c>
      <c r="J8" s="77">
        <f t="shared" si="2"/>
        <v>15</v>
      </c>
      <c r="K8" s="80">
        <f t="shared" si="3"/>
        <v>2.336448598130841E-2</v>
      </c>
      <c r="L8" s="118" t="s">
        <v>83</v>
      </c>
    </row>
    <row r="9" spans="1:12" ht="15" x14ac:dyDescent="0.25">
      <c r="A9" s="24" t="s">
        <v>47</v>
      </c>
      <c r="B9" s="64">
        <v>12343</v>
      </c>
      <c r="C9" s="64">
        <v>12267</v>
      </c>
      <c r="D9" s="128">
        <f t="shared" si="0"/>
        <v>-76</v>
      </c>
      <c r="E9" s="83">
        <f t="shared" si="1"/>
        <v>-6.1573361419428015E-3</v>
      </c>
      <c r="F9" s="23"/>
      <c r="G9" s="24" t="s">
        <v>47</v>
      </c>
      <c r="H9" s="55">
        <v>1150</v>
      </c>
      <c r="I9" s="55">
        <v>1230</v>
      </c>
      <c r="J9" s="77">
        <f t="shared" si="2"/>
        <v>80</v>
      </c>
      <c r="K9" s="80">
        <f t="shared" si="3"/>
        <v>6.9565217391304349E-2</v>
      </c>
      <c r="L9" s="118" t="s">
        <v>84</v>
      </c>
    </row>
    <row r="10" spans="1:12" ht="15" x14ac:dyDescent="0.25">
      <c r="A10" s="24" t="s">
        <v>73</v>
      </c>
      <c r="B10" s="64">
        <f>635+21394.5</f>
        <v>22029.5</v>
      </c>
      <c r="C10" s="64">
        <f>635.5+20331.5</f>
        <v>20967</v>
      </c>
      <c r="D10" s="164">
        <f t="shared" si="0"/>
        <v>-1062.5</v>
      </c>
      <c r="E10" s="165">
        <f t="shared" si="1"/>
        <v>-4.8230781452143719E-2</v>
      </c>
      <c r="F10" s="23"/>
      <c r="G10" s="18" t="s">
        <v>73</v>
      </c>
      <c r="H10" s="55">
        <f>94+1420</f>
        <v>1514</v>
      </c>
      <c r="I10" s="55">
        <f>105+1384</f>
        <v>1489</v>
      </c>
      <c r="J10" s="144">
        <f t="shared" si="2"/>
        <v>-25</v>
      </c>
      <c r="K10" s="145">
        <f t="shared" si="3"/>
        <v>-1.6512549537648614E-2</v>
      </c>
      <c r="L10" s="118" t="s">
        <v>97</v>
      </c>
    </row>
    <row r="11" spans="1:12" ht="14.25" customHeight="1" x14ac:dyDescent="0.25">
      <c r="A11" s="24" t="s">
        <v>34</v>
      </c>
      <c r="B11" s="64">
        <v>9794</v>
      </c>
      <c r="C11" s="64">
        <v>10068</v>
      </c>
      <c r="D11" s="78">
        <f t="shared" si="0"/>
        <v>274</v>
      </c>
      <c r="E11" s="81">
        <f t="shared" si="1"/>
        <v>2.7976312027772104E-2</v>
      </c>
      <c r="F11" s="23"/>
      <c r="G11" s="18" t="s">
        <v>34</v>
      </c>
      <c r="H11" s="55">
        <v>801</v>
      </c>
      <c r="I11" s="55">
        <v>818</v>
      </c>
      <c r="J11" s="77">
        <f t="shared" si="2"/>
        <v>17</v>
      </c>
      <c r="K11" s="80">
        <f t="shared" si="3"/>
        <v>2.1223470661672909E-2</v>
      </c>
      <c r="L11" s="118" t="s">
        <v>85</v>
      </c>
    </row>
    <row r="12" spans="1:12" ht="15" x14ac:dyDescent="0.25">
      <c r="A12" s="24" t="s">
        <v>48</v>
      </c>
      <c r="B12" s="64">
        <v>47717</v>
      </c>
      <c r="C12" s="64">
        <v>45547</v>
      </c>
      <c r="D12" s="128">
        <f t="shared" si="0"/>
        <v>-2170</v>
      </c>
      <c r="E12" s="83">
        <f t="shared" si="1"/>
        <v>-4.5476454932204452E-2</v>
      </c>
      <c r="F12" s="23"/>
      <c r="G12" s="18" t="s">
        <v>48</v>
      </c>
      <c r="H12" s="55">
        <f>1813+(1+27+5+3)</f>
        <v>1849</v>
      </c>
      <c r="I12" s="55">
        <f>1721+(33+4+2)</f>
        <v>1760</v>
      </c>
      <c r="J12" s="144">
        <f t="shared" si="2"/>
        <v>-89</v>
      </c>
      <c r="K12" s="145">
        <f t="shared" si="3"/>
        <v>-4.8134126554894539E-2</v>
      </c>
      <c r="L12" s="118" t="s">
        <v>94</v>
      </c>
    </row>
    <row r="13" spans="1:12" ht="15" customHeight="1" x14ac:dyDescent="0.25">
      <c r="A13" s="24" t="s">
        <v>74</v>
      </c>
      <c r="B13" s="64">
        <f>4.5+31978</f>
        <v>31982.5</v>
      </c>
      <c r="C13" s="64">
        <f>34917</f>
        <v>34917</v>
      </c>
      <c r="D13" s="78">
        <f t="shared" si="0"/>
        <v>2934.5</v>
      </c>
      <c r="E13" s="81">
        <f t="shared" si="1"/>
        <v>9.1753302587352453E-2</v>
      </c>
      <c r="F13" s="23"/>
      <c r="G13" s="18" t="s">
        <v>39</v>
      </c>
      <c r="H13" s="55">
        <f>1856+1+(2+15+18+5+1)</f>
        <v>1898</v>
      </c>
      <c r="I13" s="55">
        <f>1948+(5+17+35+4)</f>
        <v>2009</v>
      </c>
      <c r="J13" s="147">
        <f t="shared" si="2"/>
        <v>111</v>
      </c>
      <c r="K13" s="148">
        <f t="shared" si="3"/>
        <v>5.8482613277133826E-2</v>
      </c>
      <c r="L13" s="119" t="s">
        <v>95</v>
      </c>
    </row>
    <row r="14" spans="1:12" ht="14.25" customHeight="1" x14ac:dyDescent="0.25">
      <c r="A14" s="24" t="s">
        <v>22</v>
      </c>
      <c r="B14" s="64">
        <v>11660</v>
      </c>
      <c r="C14" s="64">
        <v>12188</v>
      </c>
      <c r="D14" s="78">
        <f t="shared" si="0"/>
        <v>528</v>
      </c>
      <c r="E14" s="81">
        <f t="shared" si="1"/>
        <v>4.5283018867924525E-2</v>
      </c>
      <c r="F14" s="23"/>
      <c r="G14" s="18" t="s">
        <v>22</v>
      </c>
      <c r="H14" s="55">
        <v>1165</v>
      </c>
      <c r="I14" s="55">
        <v>1241</v>
      </c>
      <c r="J14" s="77">
        <f t="shared" si="2"/>
        <v>76</v>
      </c>
      <c r="K14" s="80">
        <f t="shared" si="3"/>
        <v>6.5236051502145925E-2</v>
      </c>
      <c r="L14" s="119" t="s">
        <v>86</v>
      </c>
    </row>
    <row r="15" spans="1:12" ht="15" x14ac:dyDescent="0.25">
      <c r="A15" s="24" t="s">
        <v>41</v>
      </c>
      <c r="B15" s="64">
        <v>1275</v>
      </c>
      <c r="C15" s="64">
        <v>1452</v>
      </c>
      <c r="D15" s="78">
        <f t="shared" si="0"/>
        <v>177</v>
      </c>
      <c r="E15" s="81">
        <f t="shared" si="1"/>
        <v>0.13882352941176471</v>
      </c>
      <c r="F15" s="23"/>
      <c r="G15" s="25" t="s">
        <v>41</v>
      </c>
      <c r="H15" s="55">
        <v>202</v>
      </c>
      <c r="I15" s="55">
        <v>205</v>
      </c>
      <c r="J15" s="77">
        <f t="shared" si="2"/>
        <v>3</v>
      </c>
      <c r="K15" s="80">
        <f t="shared" si="3"/>
        <v>1.4851485148514851E-2</v>
      </c>
      <c r="L15" s="118" t="s">
        <v>87</v>
      </c>
    </row>
    <row r="16" spans="1:12" ht="15" customHeight="1" x14ac:dyDescent="0.25">
      <c r="A16" s="24" t="s">
        <v>3</v>
      </c>
      <c r="B16" s="64">
        <v>9083</v>
      </c>
      <c r="C16" s="64">
        <v>8601</v>
      </c>
      <c r="D16" s="128">
        <f t="shared" si="0"/>
        <v>-482</v>
      </c>
      <c r="E16" s="83">
        <f t="shared" si="1"/>
        <v>-5.3066167565782231E-2</v>
      </c>
      <c r="F16" s="23"/>
      <c r="G16" s="18" t="s">
        <v>3</v>
      </c>
      <c r="H16" s="55">
        <v>845</v>
      </c>
      <c r="I16" s="55">
        <v>782</v>
      </c>
      <c r="J16" s="76">
        <f t="shared" si="2"/>
        <v>-63</v>
      </c>
      <c r="K16" s="79">
        <f t="shared" si="3"/>
        <v>-7.4556213017751477E-2</v>
      </c>
      <c r="L16" s="118" t="s">
        <v>88</v>
      </c>
    </row>
    <row r="17" spans="1:12" ht="15" x14ac:dyDescent="0.25">
      <c r="A17" s="18" t="s">
        <v>38</v>
      </c>
      <c r="B17" s="64">
        <v>6924</v>
      </c>
      <c r="C17" s="64">
        <v>7536</v>
      </c>
      <c r="D17" s="78">
        <f t="shared" si="0"/>
        <v>612</v>
      </c>
      <c r="E17" s="81">
        <f t="shared" si="1"/>
        <v>8.838821490467938E-2</v>
      </c>
      <c r="F17" s="23"/>
      <c r="G17" s="18" t="s">
        <v>38</v>
      </c>
      <c r="H17" s="55">
        <v>480</v>
      </c>
      <c r="I17" s="55">
        <v>553</v>
      </c>
      <c r="J17" s="77">
        <f t="shared" si="2"/>
        <v>73</v>
      </c>
      <c r="K17" s="80">
        <f t="shared" si="3"/>
        <v>0.15208333333333332</v>
      </c>
      <c r="L17" s="118" t="s">
        <v>89</v>
      </c>
    </row>
    <row r="18" spans="1:12" ht="15" x14ac:dyDescent="0.25">
      <c r="A18" s="24" t="s">
        <v>23</v>
      </c>
      <c r="B18" s="64">
        <v>63427</v>
      </c>
      <c r="C18" s="64">
        <v>62559</v>
      </c>
      <c r="D18" s="128">
        <f t="shared" si="0"/>
        <v>-868</v>
      </c>
      <c r="E18" s="83">
        <f t="shared" si="1"/>
        <v>-1.3685023728065335E-2</v>
      </c>
      <c r="F18" s="23"/>
      <c r="G18" s="18" t="s">
        <v>23</v>
      </c>
      <c r="H18" s="55">
        <v>2639</v>
      </c>
      <c r="I18" s="55">
        <v>2643</v>
      </c>
      <c r="J18" s="77">
        <f t="shared" si="2"/>
        <v>4</v>
      </c>
      <c r="K18" s="80">
        <f t="shared" si="3"/>
        <v>1.5157256536566881E-3</v>
      </c>
      <c r="L18" s="118" t="s">
        <v>90</v>
      </c>
    </row>
    <row r="19" spans="1:12" ht="15.75" customHeight="1" x14ac:dyDescent="0.25">
      <c r="A19" s="24" t="s">
        <v>42</v>
      </c>
      <c r="B19" s="64">
        <v>10151</v>
      </c>
      <c r="C19" s="64">
        <v>10467</v>
      </c>
      <c r="D19" s="78">
        <f t="shared" si="0"/>
        <v>316</v>
      </c>
      <c r="E19" s="81">
        <f t="shared" si="1"/>
        <v>3.1129937937149049E-2</v>
      </c>
      <c r="F19" s="23"/>
      <c r="G19" s="18" t="s">
        <v>42</v>
      </c>
      <c r="H19" s="55">
        <v>915</v>
      </c>
      <c r="I19" s="55">
        <v>980</v>
      </c>
      <c r="J19" s="77">
        <f t="shared" si="2"/>
        <v>65</v>
      </c>
      <c r="K19" s="80">
        <f t="shared" si="3"/>
        <v>7.1038251366120214E-2</v>
      </c>
      <c r="L19" s="118" t="s">
        <v>91</v>
      </c>
    </row>
    <row r="20" spans="1:12" ht="15" x14ac:dyDescent="0.25">
      <c r="A20" s="24" t="s">
        <v>44</v>
      </c>
      <c r="B20" s="64">
        <v>43</v>
      </c>
      <c r="C20" s="64">
        <v>32</v>
      </c>
      <c r="D20" s="128">
        <f t="shared" si="0"/>
        <v>-11</v>
      </c>
      <c r="E20" s="83">
        <f t="shared" si="1"/>
        <v>-0.2558139534883721</v>
      </c>
      <c r="F20" s="23"/>
      <c r="G20" s="18" t="s">
        <v>68</v>
      </c>
      <c r="H20" s="55">
        <v>129</v>
      </c>
      <c r="I20" s="55">
        <v>119</v>
      </c>
      <c r="J20" s="144">
        <f t="shared" si="2"/>
        <v>-10</v>
      </c>
      <c r="K20" s="145">
        <f t="shared" si="3"/>
        <v>-7.7519379844961239E-2</v>
      </c>
      <c r="L20" s="118" t="s">
        <v>93</v>
      </c>
    </row>
    <row r="21" spans="1:12" ht="15" customHeight="1" x14ac:dyDescent="0.25">
      <c r="A21" s="24" t="s">
        <v>7</v>
      </c>
      <c r="B21" s="64">
        <v>96</v>
      </c>
      <c r="C21" s="64">
        <v>96</v>
      </c>
      <c r="D21" s="212">
        <f>C21-B21</f>
        <v>0</v>
      </c>
      <c r="E21" s="213">
        <f t="shared" si="1"/>
        <v>0</v>
      </c>
      <c r="F21" s="23"/>
      <c r="G21" s="18" t="s">
        <v>24</v>
      </c>
      <c r="H21" s="55">
        <v>4487</v>
      </c>
      <c r="I21" s="55">
        <v>4234</v>
      </c>
      <c r="J21" s="128">
        <f t="shared" si="2"/>
        <v>-253</v>
      </c>
      <c r="K21" s="83">
        <f t="shared" si="3"/>
        <v>-5.6385112547359034E-2</v>
      </c>
      <c r="L21" s="120" t="s">
        <v>96</v>
      </c>
    </row>
    <row r="22" spans="1:12" ht="15" customHeight="1" x14ac:dyDescent="0.25">
      <c r="A22" s="38" t="s">
        <v>24</v>
      </c>
      <c r="B22" s="64">
        <v>301</v>
      </c>
      <c r="C22" s="64">
        <v>222</v>
      </c>
      <c r="D22" s="128">
        <f>C22-B22</f>
        <v>-79</v>
      </c>
      <c r="E22" s="83">
        <f t="shared" ref="E22" si="4">D22/B22</f>
        <v>-0.26245847176079734</v>
      </c>
      <c r="F22" s="107"/>
      <c r="G22" s="146" t="s">
        <v>72</v>
      </c>
      <c r="H22" s="55">
        <v>0</v>
      </c>
      <c r="I22" s="55">
        <v>16</v>
      </c>
      <c r="J22" s="77">
        <f t="shared" ref="J22" si="5">I22-H22</f>
        <v>16</v>
      </c>
      <c r="K22" s="80" t="s">
        <v>46</v>
      </c>
      <c r="L22" s="120" t="s">
        <v>92</v>
      </c>
    </row>
    <row r="23" spans="1:12" ht="15" customHeight="1" x14ac:dyDescent="0.25">
      <c r="A23" s="38" t="s">
        <v>65</v>
      </c>
      <c r="B23" s="122">
        <v>66</v>
      </c>
      <c r="C23" s="123">
        <v>328</v>
      </c>
      <c r="D23" s="78">
        <f t="shared" si="0"/>
        <v>262</v>
      </c>
      <c r="E23" s="81">
        <f>D23/B23</f>
        <v>3.9696969696969697</v>
      </c>
      <c r="F23" s="107"/>
      <c r="H23" s="55"/>
      <c r="I23" s="55"/>
      <c r="J23" s="76"/>
      <c r="K23" s="79"/>
      <c r="L23" s="121"/>
    </row>
    <row r="24" spans="1:12" ht="14.25" customHeight="1" x14ac:dyDescent="0.25">
      <c r="A24" s="39" t="s">
        <v>32</v>
      </c>
      <c r="B24" s="65">
        <f>SUM(B4:B23)</f>
        <v>308202.5</v>
      </c>
      <c r="C24" s="65">
        <f>SUM(C4:C23)</f>
        <v>307534.5</v>
      </c>
      <c r="D24" s="214">
        <f>C24-B24</f>
        <v>-668</v>
      </c>
      <c r="E24" s="155">
        <f>D24/B24</f>
        <v>-2.1674061696449576E-3</v>
      </c>
      <c r="F24" s="125"/>
      <c r="G24" s="124" t="s">
        <v>69</v>
      </c>
      <c r="H24" s="54">
        <f>SUM(H4:H22)</f>
        <v>24584</v>
      </c>
      <c r="I24" s="54">
        <f>SUM(I4:I22)</f>
        <v>24353</v>
      </c>
      <c r="J24" s="167">
        <f>I24-H24</f>
        <v>-231</v>
      </c>
      <c r="K24" s="168">
        <f>J24/H24</f>
        <v>-9.3963553530751701E-3</v>
      </c>
      <c r="L24" s="73"/>
    </row>
    <row r="25" spans="1:12" ht="14.25" customHeight="1" x14ac:dyDescent="0.25">
      <c r="A25" s="36" t="s">
        <v>15</v>
      </c>
      <c r="B25" s="115">
        <v>14303</v>
      </c>
      <c r="C25" s="116">
        <v>13829</v>
      </c>
      <c r="D25" s="158">
        <f t="shared" ref="D25" si="6">C25-B25</f>
        <v>-474</v>
      </c>
      <c r="E25" s="159">
        <f t="shared" ref="E25" si="7">D25/B25</f>
        <v>-3.3139900720128644E-2</v>
      </c>
      <c r="F25" s="26"/>
      <c r="G25" s="36" t="s">
        <v>15</v>
      </c>
      <c r="H25" s="67">
        <v>1226</v>
      </c>
      <c r="I25" s="67">
        <v>1193</v>
      </c>
      <c r="J25" s="162">
        <f>I25-H25</f>
        <v>-33</v>
      </c>
      <c r="K25" s="163">
        <f>J25/H25</f>
        <v>-2.6916802610114192E-2</v>
      </c>
      <c r="L25" s="21"/>
    </row>
    <row r="26" spans="1:12" ht="15" x14ac:dyDescent="0.25">
      <c r="A26" s="108" t="s">
        <v>50</v>
      </c>
      <c r="B26" s="49">
        <v>0</v>
      </c>
      <c r="C26" s="49">
        <v>5219</v>
      </c>
      <c r="D26" s="137">
        <f>C26-B26</f>
        <v>5219</v>
      </c>
      <c r="E26" s="135" t="s">
        <v>46</v>
      </c>
      <c r="F26" s="107"/>
      <c r="G26" s="108" t="s">
        <v>50</v>
      </c>
      <c r="H26" s="132">
        <v>0</v>
      </c>
      <c r="I26" s="133">
        <v>386</v>
      </c>
      <c r="J26" s="134">
        <f>I26-H26</f>
        <v>386</v>
      </c>
      <c r="K26" s="135" t="s">
        <v>46</v>
      </c>
      <c r="L26" s="35"/>
    </row>
    <row r="27" spans="1:12" ht="18" customHeight="1" thickBot="1" x14ac:dyDescent="0.3">
      <c r="A27" s="103" t="s">
        <v>45</v>
      </c>
      <c r="B27" s="104">
        <f>SUM(B24:B26)</f>
        <v>322505.5</v>
      </c>
      <c r="C27" s="104">
        <f>SUM(C24:C26)</f>
        <v>326582.5</v>
      </c>
      <c r="D27" s="126">
        <f t="shared" ref="D27" si="8">C27-B27</f>
        <v>4077</v>
      </c>
      <c r="E27" s="127">
        <f t="shared" ref="E27" si="9">D27/B27</f>
        <v>1.264164487117274E-2</v>
      </c>
      <c r="F27" s="27"/>
      <c r="G27" s="37" t="s">
        <v>45</v>
      </c>
      <c r="H27" s="66">
        <f>SUM(H24:H26)</f>
        <v>25810</v>
      </c>
      <c r="I27" s="66">
        <f>SUM(I24:I26)</f>
        <v>25932</v>
      </c>
      <c r="J27" s="149">
        <f t="shared" si="2"/>
        <v>122</v>
      </c>
      <c r="K27" s="150">
        <f t="shared" si="3"/>
        <v>4.7268500581170089E-3</v>
      </c>
      <c r="L27" s="184" t="s">
        <v>71</v>
      </c>
    </row>
    <row r="28" spans="1:12" ht="14.25" customHeight="1" thickTop="1" x14ac:dyDescent="0.2">
      <c r="A28" s="177"/>
      <c r="B28" s="178"/>
      <c r="C28" s="178"/>
      <c r="D28" s="178"/>
      <c r="E28" s="178"/>
      <c r="F28" s="28"/>
      <c r="G28" s="181"/>
      <c r="H28" s="182"/>
      <c r="I28" s="182"/>
      <c r="J28" s="182"/>
      <c r="K28" s="182"/>
      <c r="L28" s="185"/>
    </row>
    <row r="29" spans="1:12" s="13" customFormat="1" ht="13.5" customHeight="1" x14ac:dyDescent="0.2">
      <c r="A29" s="174" t="s">
        <v>10</v>
      </c>
      <c r="B29" s="175"/>
      <c r="C29" s="175"/>
      <c r="D29" s="175"/>
      <c r="E29" s="175"/>
      <c r="F29" s="17"/>
      <c r="G29" s="183"/>
      <c r="H29" s="183"/>
      <c r="I29" s="183"/>
      <c r="J29" s="183"/>
      <c r="K29" s="183"/>
      <c r="L29" s="186"/>
    </row>
    <row r="30" spans="1:12" ht="10.5" customHeight="1" thickBot="1" x14ac:dyDescent="0.25">
      <c r="A30" s="174"/>
      <c r="B30" s="176"/>
      <c r="C30" s="176"/>
      <c r="D30" s="176"/>
      <c r="E30" s="176"/>
      <c r="F30" s="17"/>
      <c r="G30" s="183"/>
      <c r="H30" s="183"/>
      <c r="I30" s="183"/>
      <c r="J30" s="183"/>
      <c r="K30" s="183"/>
      <c r="L30" s="187" t="s">
        <v>51</v>
      </c>
    </row>
    <row r="31" spans="1:12" s="13" customFormat="1" ht="13.5" customHeight="1" thickBot="1" x14ac:dyDescent="0.25">
      <c r="A31" s="85" t="s">
        <v>63</v>
      </c>
      <c r="B31" s="19">
        <v>2018</v>
      </c>
      <c r="C31" s="19">
        <v>2019</v>
      </c>
      <c r="D31" s="101" t="s">
        <v>0</v>
      </c>
      <c r="E31" s="102" t="s">
        <v>1</v>
      </c>
      <c r="F31" s="28"/>
      <c r="G31" s="69" t="s">
        <v>61</v>
      </c>
      <c r="H31" s="19">
        <v>2018</v>
      </c>
      <c r="I31" s="19">
        <v>2019</v>
      </c>
      <c r="J31" s="19" t="s">
        <v>0</v>
      </c>
      <c r="K31" s="20" t="s">
        <v>1</v>
      </c>
      <c r="L31" s="188"/>
    </row>
    <row r="32" spans="1:12" ht="17.25" customHeight="1" x14ac:dyDescent="0.25">
      <c r="A32" s="88" t="s">
        <v>27</v>
      </c>
      <c r="B32" s="100">
        <f>2864+163</f>
        <v>3027</v>
      </c>
      <c r="C32" s="68">
        <f>2667+182</f>
        <v>2849</v>
      </c>
      <c r="D32" s="84">
        <f>C32-B32</f>
        <v>-178</v>
      </c>
      <c r="E32" s="131">
        <f>D32/B32</f>
        <v>-5.8804096465147011E-2</v>
      </c>
      <c r="F32" s="29"/>
      <c r="G32" s="51" t="s">
        <v>8</v>
      </c>
      <c r="H32" s="90">
        <f>2622+3301+3659+5770+113+92+351</f>
        <v>15908</v>
      </c>
      <c r="I32" s="90">
        <f>2414+3185+3531+5747+126+102+319</f>
        <v>15424</v>
      </c>
      <c r="J32" s="128">
        <f>I32-H32</f>
        <v>-484</v>
      </c>
      <c r="K32" s="82">
        <f>J32/H32</f>
        <v>-3.0424943424691979E-2</v>
      </c>
      <c r="L32" s="188"/>
    </row>
    <row r="33" spans="1:12" s="3" customFormat="1" ht="16.5" customHeight="1" thickBot="1" x14ac:dyDescent="0.3">
      <c r="A33" s="89" t="s">
        <v>6</v>
      </c>
      <c r="B33" s="100">
        <v>3560</v>
      </c>
      <c r="C33" s="68">
        <v>3464</v>
      </c>
      <c r="D33" s="84">
        <f t="shared" ref="D33:D35" si="10">C33-B33</f>
        <v>-96</v>
      </c>
      <c r="E33" s="131">
        <f t="shared" ref="E33:E35" si="11">D33/B33</f>
        <v>-2.6966292134831461E-2</v>
      </c>
      <c r="F33" s="29"/>
      <c r="G33" s="24" t="s">
        <v>9</v>
      </c>
      <c r="H33" s="142">
        <f>34+64638+58156+58300+29243</f>
        <v>210371</v>
      </c>
      <c r="I33" s="91">
        <f>202061.5</f>
        <v>202061.5</v>
      </c>
      <c r="J33" s="128">
        <f>I33-H33</f>
        <v>-8309.5</v>
      </c>
      <c r="K33" s="82">
        <f>J33/H33</f>
        <v>-3.9499265583183993E-2</v>
      </c>
      <c r="L33" s="189"/>
    </row>
    <row r="34" spans="1:12" ht="15" customHeight="1" x14ac:dyDescent="0.25">
      <c r="A34" s="89" t="s">
        <v>28</v>
      </c>
      <c r="B34" s="100">
        <v>3906</v>
      </c>
      <c r="C34" s="68">
        <v>3796</v>
      </c>
      <c r="D34" s="84">
        <f t="shared" si="10"/>
        <v>-110</v>
      </c>
      <c r="E34" s="131">
        <f t="shared" si="11"/>
        <v>-2.8161802355350742E-2</v>
      </c>
      <c r="F34" s="29"/>
      <c r="G34" s="52" t="s">
        <v>11</v>
      </c>
      <c r="H34" s="92">
        <f>H32+50+177+2097+225+172+2698</f>
        <v>21327</v>
      </c>
      <c r="I34" s="92">
        <f>I32+60+134+2158+247+181+2786</f>
        <v>20990</v>
      </c>
      <c r="J34" s="156">
        <f>I34-H34</f>
        <v>-337</v>
      </c>
      <c r="K34" s="157">
        <f>J34/H34</f>
        <v>-1.580156608993295E-2</v>
      </c>
      <c r="L34" s="199" t="s">
        <v>98</v>
      </c>
    </row>
    <row r="35" spans="1:12" ht="15.75" customHeight="1" thickBot="1" x14ac:dyDescent="0.3">
      <c r="A35" s="89" t="s">
        <v>29</v>
      </c>
      <c r="B35" s="100">
        <v>6147</v>
      </c>
      <c r="C35" s="68">
        <v>6189</v>
      </c>
      <c r="D35" s="113">
        <f t="shared" si="10"/>
        <v>42</v>
      </c>
      <c r="E35" s="114">
        <f t="shared" si="11"/>
        <v>6.8326012689116644E-3</v>
      </c>
      <c r="F35" s="29"/>
      <c r="G35" s="53" t="s">
        <v>12</v>
      </c>
      <c r="H35" s="143">
        <f>H33+308.5+20133+20961+12921+5647+472</f>
        <v>270813.5</v>
      </c>
      <c r="I35" s="93">
        <f>297.5+266276.5</f>
        <v>266574</v>
      </c>
      <c r="J35" s="160">
        <f>I35-H35</f>
        <v>-4239.5</v>
      </c>
      <c r="K35" s="161">
        <f>J35/H35</f>
        <v>-1.5654684866153276E-2</v>
      </c>
      <c r="L35" s="200"/>
    </row>
    <row r="36" spans="1:12" ht="15.75" thickBot="1" x14ac:dyDescent="0.3">
      <c r="A36" s="47" t="s">
        <v>35</v>
      </c>
      <c r="B36" s="54">
        <f>SUM(B32:B35)</f>
        <v>16640</v>
      </c>
      <c r="C36" s="54">
        <f>SUM(C32:C35)</f>
        <v>16298</v>
      </c>
      <c r="D36" s="154">
        <f t="shared" ref="D36:D38" si="12">C36-B36</f>
        <v>-342</v>
      </c>
      <c r="E36" s="155">
        <f t="shared" ref="E36:E38" si="13">D36/B36</f>
        <v>-2.0552884615384615E-2</v>
      </c>
      <c r="F36" s="29"/>
      <c r="G36" s="45"/>
      <c r="H36" s="94"/>
      <c r="I36" s="99"/>
      <c r="J36" s="106"/>
      <c r="K36" s="105"/>
      <c r="L36" s="200"/>
    </row>
    <row r="37" spans="1:12" ht="16.5" customHeight="1" thickBot="1" x14ac:dyDescent="0.3">
      <c r="A37" s="46" t="s">
        <v>31</v>
      </c>
      <c r="B37" s="55">
        <f>92+437</f>
        <v>529</v>
      </c>
      <c r="C37" s="55">
        <f>103+367</f>
        <v>470</v>
      </c>
      <c r="D37" s="84">
        <f t="shared" si="12"/>
        <v>-59</v>
      </c>
      <c r="E37" s="83">
        <f t="shared" si="13"/>
        <v>-0.11153119092627599</v>
      </c>
      <c r="F37" s="29"/>
      <c r="G37" s="70" t="s">
        <v>62</v>
      </c>
      <c r="H37" s="19">
        <v>2018</v>
      </c>
      <c r="I37" s="19">
        <v>2019</v>
      </c>
      <c r="J37" s="71" t="s">
        <v>0</v>
      </c>
      <c r="K37" s="72" t="s">
        <v>1</v>
      </c>
      <c r="L37" s="200"/>
    </row>
    <row r="38" spans="1:12" ht="15" customHeight="1" x14ac:dyDescent="0.25">
      <c r="A38" s="47" t="s">
        <v>7</v>
      </c>
      <c r="B38" s="54">
        <f>85+218+3620</f>
        <v>3923</v>
      </c>
      <c r="C38" s="54">
        <f>82+172+3657</f>
        <v>3911</v>
      </c>
      <c r="D38" s="154">
        <f t="shared" si="12"/>
        <v>-12</v>
      </c>
      <c r="E38" s="155">
        <f t="shared" si="13"/>
        <v>-3.0588835075197555E-3</v>
      </c>
      <c r="F38" s="29"/>
      <c r="G38" s="42" t="s">
        <v>8</v>
      </c>
      <c r="H38" s="95">
        <f>242+259+247+377+50+86+0</f>
        <v>1261</v>
      </c>
      <c r="I38" s="95">
        <f>253+279+265+442+56+1+48</f>
        <v>1344</v>
      </c>
      <c r="J38" s="86">
        <f>I38-H38</f>
        <v>83</v>
      </c>
      <c r="K38" s="87">
        <f>J38/H38</f>
        <v>6.5820777160983349E-2</v>
      </c>
      <c r="L38" s="201"/>
    </row>
    <row r="39" spans="1:12" ht="14.25" customHeight="1" x14ac:dyDescent="0.25">
      <c r="A39" s="138" t="s">
        <v>66</v>
      </c>
      <c r="B39" s="54">
        <v>2716</v>
      </c>
      <c r="C39" s="54">
        <v>2823</v>
      </c>
      <c r="D39" s="111">
        <f>C39-B39</f>
        <v>107</v>
      </c>
      <c r="E39" s="112">
        <f>D39/B39</f>
        <v>3.9396170839469807E-2</v>
      </c>
      <c r="F39" s="17"/>
      <c r="G39" s="18" t="s">
        <v>9</v>
      </c>
      <c r="H39" s="91">
        <f>2+5769+4612+3834+1771</f>
        <v>15988</v>
      </c>
      <c r="I39" s="96">
        <f>18530</f>
        <v>18530</v>
      </c>
      <c r="J39" s="86">
        <f>I39-H39</f>
        <v>2542</v>
      </c>
      <c r="K39" s="87">
        <f>J39/H39</f>
        <v>0.15899424568426321</v>
      </c>
      <c r="L39" s="197" t="s">
        <v>75</v>
      </c>
    </row>
    <row r="40" spans="1:12" ht="16.5" customHeight="1" x14ac:dyDescent="0.25">
      <c r="A40" s="47" t="s">
        <v>67</v>
      </c>
      <c r="B40" s="140">
        <v>572</v>
      </c>
      <c r="C40" s="141">
        <v>618</v>
      </c>
      <c r="D40" s="111">
        <f>C40-B40</f>
        <v>46</v>
      </c>
      <c r="E40" s="112">
        <f>D40/B40</f>
        <v>8.0419580419580416E-2</v>
      </c>
      <c r="F40" s="17"/>
      <c r="G40" s="43" t="s">
        <v>13</v>
      </c>
      <c r="H40" s="97">
        <f>H38+45+41+619+347+22+922</f>
        <v>3257</v>
      </c>
      <c r="I40" s="97">
        <f>I38+45+38+665+371+29+871</f>
        <v>3363</v>
      </c>
      <c r="J40" s="40">
        <f>I40-H40</f>
        <v>106</v>
      </c>
      <c r="K40" s="87">
        <f t="shared" ref="K40:K41" si="14">J40/H40</f>
        <v>3.2545287073994476E-2</v>
      </c>
      <c r="L40" s="198"/>
    </row>
    <row r="41" spans="1:12" ht="15.75" customHeight="1" thickBot="1" x14ac:dyDescent="0.3">
      <c r="A41" s="48" t="s">
        <v>30</v>
      </c>
      <c r="B41" s="139">
        <f>10+194</f>
        <v>204</v>
      </c>
      <c r="C41" s="139">
        <f>23+210</f>
        <v>233</v>
      </c>
      <c r="D41" s="129">
        <f>C41-B41</f>
        <v>29</v>
      </c>
      <c r="E41" s="130">
        <f>D41/B41</f>
        <v>0.14215686274509803</v>
      </c>
      <c r="F41" s="17"/>
      <c r="G41" s="44" t="s">
        <v>14</v>
      </c>
      <c r="H41" s="93">
        <f>H39+331+7010+6336+4350+2304+1070</f>
        <v>37389</v>
      </c>
      <c r="I41" s="98">
        <f>338+40622.5</f>
        <v>40960.5</v>
      </c>
      <c r="J41" s="41">
        <f>I41-H41</f>
        <v>3571.5</v>
      </c>
      <c r="K41" s="87">
        <f t="shared" si="14"/>
        <v>9.5522747332103031E-2</v>
      </c>
      <c r="L41" s="198"/>
    </row>
    <row r="42" spans="1:12" ht="12" customHeight="1" thickBot="1" x14ac:dyDescent="0.25">
      <c r="A42" s="208" t="s">
        <v>64</v>
      </c>
      <c r="B42" s="208"/>
      <c r="C42" s="208"/>
      <c r="D42" s="208"/>
      <c r="E42" s="208"/>
      <c r="F42" s="17"/>
      <c r="G42" s="5"/>
      <c r="H42" s="9"/>
      <c r="I42" s="9"/>
      <c r="L42" s="166" t="s">
        <v>60</v>
      </c>
    </row>
    <row r="43" spans="1:12" ht="13.5" customHeight="1" thickBot="1" x14ac:dyDescent="0.25">
      <c r="A43" s="209"/>
      <c r="B43" s="209"/>
      <c r="C43" s="209"/>
      <c r="D43" s="209"/>
      <c r="E43" s="209"/>
      <c r="F43" s="17"/>
      <c r="G43" s="210" t="s">
        <v>26</v>
      </c>
      <c r="H43" s="211"/>
      <c r="I43" s="211"/>
      <c r="J43" s="19">
        <v>2017</v>
      </c>
      <c r="K43" s="19">
        <v>2018</v>
      </c>
      <c r="L43" s="190"/>
    </row>
    <row r="44" spans="1:12" ht="12.75" customHeight="1" x14ac:dyDescent="0.25">
      <c r="A44" s="209"/>
      <c r="B44" s="209"/>
      <c r="C44" s="209"/>
      <c r="D44" s="209"/>
      <c r="E44" s="209"/>
      <c r="F44" s="30"/>
      <c r="G44" s="204" t="s">
        <v>19</v>
      </c>
      <c r="H44" s="205"/>
      <c r="I44" s="205"/>
      <c r="J44" s="33">
        <f>H38/H24</f>
        <v>5.1293524243410347E-2</v>
      </c>
      <c r="K44" s="34">
        <f>I38/I24</f>
        <v>5.518827249209543E-2</v>
      </c>
      <c r="L44" s="191"/>
    </row>
    <row r="45" spans="1:12" ht="12.75" customHeight="1" x14ac:dyDescent="0.25">
      <c r="A45" s="209"/>
      <c r="B45" s="209"/>
      <c r="C45" s="209"/>
      <c r="D45" s="209"/>
      <c r="E45" s="209"/>
      <c r="F45" s="30"/>
      <c r="G45" s="202" t="s">
        <v>16</v>
      </c>
      <c r="H45" s="203"/>
      <c r="I45" s="203"/>
      <c r="J45" s="33">
        <f>H39/B24</f>
        <v>5.1874984790843681E-2</v>
      </c>
      <c r="K45" s="11">
        <f>I39/C24</f>
        <v>6.0253402463788616E-2</v>
      </c>
      <c r="L45" s="192"/>
    </row>
    <row r="46" spans="1:12" ht="12" customHeight="1" x14ac:dyDescent="0.25">
      <c r="A46" s="209"/>
      <c r="B46" s="209"/>
      <c r="C46" s="209"/>
      <c r="D46" s="209"/>
      <c r="E46" s="209"/>
      <c r="F46" s="31"/>
      <c r="G46" s="206" t="s">
        <v>17</v>
      </c>
      <c r="H46" s="207"/>
      <c r="I46" s="207"/>
      <c r="J46" s="33">
        <f>H40/H24</f>
        <v>0.13248454279205987</v>
      </c>
      <c r="K46" s="11">
        <f>I40/I24</f>
        <v>0.13809386933847986</v>
      </c>
      <c r="L46" s="193" t="s">
        <v>43</v>
      </c>
    </row>
    <row r="47" spans="1:12" ht="3.75" hidden="1" customHeight="1" x14ac:dyDescent="0.25">
      <c r="A47" s="136"/>
      <c r="B47" s="136"/>
      <c r="C47" s="136"/>
      <c r="D47" s="136"/>
      <c r="E47" s="136"/>
      <c r="F47" s="31"/>
      <c r="G47" s="206" t="s">
        <v>18</v>
      </c>
      <c r="H47" s="207"/>
      <c r="I47" s="207"/>
      <c r="J47" s="33">
        <f t="shared" ref="J47" si="15">H41/H27</f>
        <v>1.4486245641224331</v>
      </c>
      <c r="K47" s="11">
        <f>I41/C24</f>
        <v>0.1331899347878043</v>
      </c>
      <c r="L47" s="194"/>
    </row>
    <row r="48" spans="1:12" ht="15" customHeight="1" thickBot="1" x14ac:dyDescent="0.3">
      <c r="A48" s="32" t="s">
        <v>40</v>
      </c>
      <c r="F48" s="17"/>
      <c r="G48" s="195" t="s">
        <v>18</v>
      </c>
      <c r="H48" s="196"/>
      <c r="I48" s="196"/>
      <c r="J48" s="33">
        <f>H41/B24</f>
        <v>0.12131309771984329</v>
      </c>
      <c r="K48" s="12">
        <f>I41/C24</f>
        <v>0.1331899347878043</v>
      </c>
      <c r="L48" s="194"/>
    </row>
    <row r="49" spans="12:12" x14ac:dyDescent="0.2">
      <c r="L49" s="110" t="s">
        <v>78</v>
      </c>
    </row>
  </sheetData>
  <mergeCells count="21">
    <mergeCell ref="A42:E46"/>
    <mergeCell ref="G43:I43"/>
    <mergeCell ref="G46:I46"/>
    <mergeCell ref="L43:L45"/>
    <mergeCell ref="L46:L48"/>
    <mergeCell ref="G48:I48"/>
    <mergeCell ref="L39:L41"/>
    <mergeCell ref="L34:L38"/>
    <mergeCell ref="G45:I45"/>
    <mergeCell ref="G44:I44"/>
    <mergeCell ref="G47:I47"/>
    <mergeCell ref="B1:D1"/>
    <mergeCell ref="A2:C2"/>
    <mergeCell ref="G2:J2"/>
    <mergeCell ref="A29:E29"/>
    <mergeCell ref="A30:E30"/>
    <mergeCell ref="A28:E28"/>
    <mergeCell ref="G1:L1"/>
    <mergeCell ref="G28:K30"/>
    <mergeCell ref="L27:L29"/>
    <mergeCell ref="L30:L33"/>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E6" sqref="E6"/>
    </sheetView>
  </sheetViews>
  <sheetFormatPr defaultRowHeight="12.75" x14ac:dyDescent="0.2"/>
  <cols>
    <col min="1" max="1" width="15.7109375" customWidth="1"/>
    <col min="2" max="2" width="14.7109375" customWidth="1"/>
    <col min="5" max="5" width="15" customWidth="1"/>
  </cols>
  <sheetData>
    <row r="2" spans="1:6" x14ac:dyDescent="0.2">
      <c r="B2" s="45" t="s">
        <v>56</v>
      </c>
      <c r="C2" s="45" t="s">
        <v>57</v>
      </c>
      <c r="E2" s="45" t="s">
        <v>58</v>
      </c>
      <c r="F2" s="45" t="s">
        <v>59</v>
      </c>
    </row>
    <row r="3" spans="1:6" x14ac:dyDescent="0.2">
      <c r="A3" t="s">
        <v>52</v>
      </c>
      <c r="B3" s="109">
        <f>IF(SUM('Sheet 1'!B4:B23)='Sheet 1'!B24,0,1)</f>
        <v>0</v>
      </c>
      <c r="C3" s="109">
        <f>IF(SUM('Sheet 1'!C4:C23)='Sheet 1'!C24,0,1)</f>
        <v>0</v>
      </c>
      <c r="D3" s="109"/>
      <c r="E3" s="109">
        <f>IF(SUM('Sheet 1'!H4:H22)='Sheet 1'!H24,0,1)</f>
        <v>0</v>
      </c>
      <c r="F3" s="109">
        <f>IF(SUM('Sheet 1'!I4:I22)='Sheet 1'!I24,0,1)</f>
        <v>0</v>
      </c>
    </row>
    <row r="4" spans="1:6" x14ac:dyDescent="0.2">
      <c r="A4" t="s">
        <v>53</v>
      </c>
      <c r="B4" s="109">
        <f>IF((SUM('Sheet 1'!B$24:B$26))=('Sheet 1'!B$27),0,1)</f>
        <v>0</v>
      </c>
      <c r="C4" s="109">
        <f>IF((SUM('Sheet 1'!C$24:C$26))=('Sheet 1'!C$27),0,1)</f>
        <v>0</v>
      </c>
      <c r="D4" s="109"/>
      <c r="E4" s="109">
        <f>IF((SUM('Sheet 1'!H$24:H$26))=('Sheet 1'!H$27),0,1)</f>
        <v>0</v>
      </c>
      <c r="F4" s="109">
        <f>IF((SUM('Sheet 1'!I$24:I$26))=('Sheet 1'!I$27),0,1)</f>
        <v>0</v>
      </c>
    </row>
    <row r="5" spans="1:6" x14ac:dyDescent="0.2">
      <c r="B5" s="109"/>
      <c r="C5" s="109"/>
      <c r="D5" s="109"/>
      <c r="E5" s="109"/>
      <c r="F5" s="109"/>
    </row>
    <row r="6" spans="1:6" x14ac:dyDescent="0.2">
      <c r="A6" t="s">
        <v>54</v>
      </c>
      <c r="B6" s="109"/>
      <c r="C6" s="109"/>
      <c r="D6" s="109"/>
      <c r="E6" s="109">
        <f>IF(SUM('Sheet 1'!B36:B41)='Sheet 1'!H24,0,1)</f>
        <v>0</v>
      </c>
      <c r="F6" s="109">
        <f>IF(SUM('Sheet 1'!C36:C41)='Sheet 1'!I24,0,1)</f>
        <v>0</v>
      </c>
    </row>
    <row r="7" spans="1:6" x14ac:dyDescent="0.2">
      <c r="B7" s="109"/>
      <c r="C7" s="109"/>
      <c r="D7" s="109"/>
      <c r="E7" s="109"/>
      <c r="F7" s="109"/>
    </row>
    <row r="8" spans="1:6" x14ac:dyDescent="0.2">
      <c r="A8" t="s">
        <v>55</v>
      </c>
      <c r="B8" s="109">
        <f>IF(SUM('Sheet 1'!H35,'Sheet 1'!H41)='Sheet 1'!B24,0,1)</f>
        <v>0</v>
      </c>
      <c r="C8" s="109">
        <f>IF(SUM('Sheet 1'!I35,'Sheet 1'!I41)='Sheet 1'!C24,0,1)</f>
        <v>0</v>
      </c>
      <c r="D8" s="109"/>
      <c r="E8" s="109">
        <f>IF(SUM('Sheet 1'!H34,'Sheet 1'!H40)='Sheet 1'!H24,0,1)</f>
        <v>0</v>
      </c>
      <c r="F8" s="109">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2018-12-18T23:00:09Z</cp:lastPrinted>
  <dcterms:created xsi:type="dcterms:W3CDTF">2005-01-11T16:04:59Z</dcterms:created>
  <dcterms:modified xsi:type="dcterms:W3CDTF">2019-01-03T20:57:02Z</dcterms:modified>
</cp:coreProperties>
</file>